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38" yWindow="65438" windowWidth="17115" windowHeight="10876" firstSheet="1" activeTab="1"/>
  </bookViews>
  <sheets>
    <sheet name="8 yrs" sheetId="2" state="hidden" r:id="rId1"/>
    <sheet name="SGB Return Calculator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<sst xmlns="http://schemas.openxmlformats.org/spreadsheetml/2006/main" count="88" uniqueCount="48">
  <si>
    <t>GST@3%</t>
  </si>
  <si>
    <t>Making Charges</t>
  </si>
  <si>
    <t>Making Charges (@12%)</t>
  </si>
  <si>
    <t>Locker charges</t>
  </si>
  <si>
    <t>GST on Making charge@3%</t>
  </si>
  <si>
    <t>Physical Gold</t>
  </si>
  <si>
    <t>Digital Gold</t>
  </si>
  <si>
    <t>ETF</t>
  </si>
  <si>
    <t>SGB</t>
  </si>
  <si>
    <t xml:space="preserve"> </t>
  </si>
  <si>
    <t>Rate after discount</t>
  </si>
  <si>
    <t>Weightage in gm</t>
  </si>
  <si>
    <t>Investment</t>
  </si>
  <si>
    <t>Total Investment</t>
  </si>
  <si>
    <t>Expense ratio @ 0.5%pa on ETF</t>
  </si>
  <si>
    <t>Selling rate after removing commission of 1% on physical and 3% on digital gold</t>
  </si>
  <si>
    <t xml:space="preserve">Money back on selling all gold </t>
  </si>
  <si>
    <t>Interest post 30% tax</t>
  </si>
  <si>
    <t>Total Returns after 8 years</t>
  </si>
  <si>
    <t>Interest received @2.5%pa</t>
  </si>
  <si>
    <t>XIRR</t>
  </si>
  <si>
    <t>Indexed cost @3%</t>
  </si>
  <si>
    <t>Profit</t>
  </si>
  <si>
    <t>LTCG Tax Paid @ 20%</t>
  </si>
  <si>
    <t>Total Returns After 8 years and Tax</t>
  </si>
  <si>
    <t>Locker charges @2K pa</t>
  </si>
  <si>
    <t>Gold price after 5 yrs @5%pa increase</t>
  </si>
  <si>
    <t>Total Returns after 5 years</t>
  </si>
  <si>
    <t>Selling date</t>
  </si>
  <si>
    <t>Interest received post 30% tax</t>
  </si>
  <si>
    <t>Financial Year</t>
  </si>
  <si>
    <t>Cost Inflation Index</t>
  </si>
  <si>
    <t>Total Returns after holding period</t>
  </si>
  <si>
    <t>Total Returns After holding period and Tax</t>
  </si>
  <si>
    <t>Year of Purchase</t>
  </si>
  <si>
    <t>Indexed cost</t>
  </si>
  <si>
    <t>INDEXATION TABLE Source</t>
  </si>
  <si>
    <t>Purchase Price of Gold</t>
  </si>
  <si>
    <t>Amount Invested for Purchase</t>
  </si>
  <si>
    <t>Discount on SGB Purchase</t>
  </si>
  <si>
    <t>Locker Charges per annum (for physical gold)</t>
  </si>
  <si>
    <t>Making Charges in % (for physical gold)</t>
  </si>
  <si>
    <t>Duration Held</t>
  </si>
  <si>
    <t>Assumed Hike in Gold Price per year</t>
  </si>
  <si>
    <t>Selling Price of Gold</t>
  </si>
  <si>
    <t>Indexation Value at Purchase (refer to table in columng G and H)</t>
  </si>
  <si>
    <t>Indexation Value at Sale (refer to table in columng G and H)</t>
  </si>
  <si>
    <r>
      <rPr>
        <b/>
        <u val="single"/>
        <sz val="11"/>
        <color theme="1"/>
        <rFont val="Calibri"/>
        <family val="2"/>
        <scheme val="minor"/>
      </rPr>
      <t xml:space="preserve">Instructions
</t>
    </r>
    <r>
      <rPr>
        <sz val="11"/>
        <color theme="1"/>
        <rFont val="Calibri"/>
        <family val="2"/>
        <scheme val="minor"/>
      </rPr>
      <t>1) Fill data in cells highlighted in Blue
2) For Selling Price, you can give either the value or enter % increase in price per year cell
3) Refer to column G and H values for Indexation Values. You can add future indexation values in that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</si>
</sst>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₹&quot;\ #,##0.00;[Red]&quot;₹&quot;\ \-#,##0.00"/>
    <numFmt numFmtId="164" formatCode="&quot;₹&quot;\ #,##0.00"/>
    <numFmt numFmtId="165" formatCode="&quot;₹&quot;\ #,##0"/>
    <numFmt numFmtId="166" formatCode="&quot;₹&quot;\ #,##0.0"/>
    <numFmt numFmtId="177" formatCode="0.0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15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0" fillId="0" borderId="1" xfId="15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0" fillId="0" borderId="3" xfId="21" applyFont="1" applyFill="1" applyBorder="1" applyAlignment="1">
      <alignment horizontal="center" vertical="center"/>
    </xf>
    <xf numFmtId="165" fontId="2" fillId="0" borderId="4" xfId="21" applyNumberFormat="1" applyFont="1" applyFill="1" applyBorder="1" applyAlignment="1">
      <alignment horizontal="center" vertical="center"/>
    </xf>
    <xf numFmtId="165" fontId="2" fillId="0" borderId="5" xfId="21" applyNumberFormat="1" applyFont="1" applyFill="1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5" fillId="0" borderId="6" xfId="21" applyFont="1" applyFill="1" applyBorder="1" applyAlignment="1">
      <alignment horizontal="center" vertical="center"/>
    </xf>
    <xf numFmtId="0" fontId="0" fillId="0" borderId="7" xfId="2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5" borderId="4" xfId="21" applyNumberFormat="1" applyFont="1" applyFill="1" applyBorder="1" applyAlignment="1">
      <alignment horizontal="center" vertical="center"/>
    </xf>
    <xf numFmtId="165" fontId="2" fillId="5" borderId="5" xfId="21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2" fillId="5" borderId="1" xfId="21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0" fontId="2" fillId="4" borderId="7" xfId="15" applyNumberFormat="1" applyFont="1" applyFill="1" applyBorder="1" applyAlignment="1">
      <alignment horizontal="center" vertical="center"/>
    </xf>
    <xf numFmtId="165" fontId="2" fillId="5" borderId="4" xfId="21" applyNumberFormat="1" applyFont="1" applyFill="1" applyBorder="1" applyAlignment="1" applyProtection="1">
      <alignment horizontal="center" vertical="center"/>
      <protection/>
    </xf>
    <xf numFmtId="165" fontId="2" fillId="5" borderId="5" xfId="21" applyNumberFormat="1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165" fontId="2" fillId="4" borderId="8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0" fontId="5" fillId="6" borderId="7" xfId="0" applyFont="1" applyFill="1" applyBorder="1" applyAlignment="1" applyProtection="1">
      <alignment horizontal="center" vertical="center"/>
      <protection/>
    </xf>
    <xf numFmtId="0" fontId="0" fillId="0" borderId="10" xfId="0" applyBorder="1" applyProtection="1">
      <protection/>
    </xf>
    <xf numFmtId="0" fontId="0" fillId="0" borderId="0" xfId="0" applyProtection="1">
      <protection/>
    </xf>
    <xf numFmtId="0" fontId="3" fillId="0" borderId="0" xfId="20" applyAlignment="1" applyProtection="1">
      <alignment vertical="center" wrapText="1"/>
      <protection/>
    </xf>
    <xf numFmtId="0" fontId="0" fillId="0" borderId="11" xfId="0" applyBorder="1" applyProtection="1">
      <protection/>
    </xf>
    <xf numFmtId="1" fontId="0" fillId="7" borderId="12" xfId="0" applyNumberFormat="1" applyFill="1" applyBorder="1" applyProtection="1"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Protection="1">
      <protection/>
    </xf>
    <xf numFmtId="0" fontId="0" fillId="0" borderId="14" xfId="0" applyBorder="1" applyAlignment="1" applyProtection="1">
      <alignment wrapText="1"/>
      <protection/>
    </xf>
    <xf numFmtId="0" fontId="0" fillId="0" borderId="3" xfId="21" applyFont="1" applyFill="1" applyBorder="1" applyAlignment="1" applyProtection="1">
      <alignment horizontal="center" vertical="center"/>
      <protection/>
    </xf>
    <xf numFmtId="165" fontId="2" fillId="0" borderId="4" xfId="21" applyNumberFormat="1" applyFont="1" applyFill="1" applyBorder="1" applyAlignment="1" applyProtection="1">
      <alignment horizontal="center" vertical="center"/>
      <protection/>
    </xf>
    <xf numFmtId="165" fontId="2" fillId="0" borderId="5" xfId="21" applyNumberFormat="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5" fontId="5" fillId="0" borderId="2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165" fontId="0" fillId="0" borderId="8" xfId="0" applyNumberFormat="1" applyFont="1" applyFill="1" applyBorder="1" applyAlignment="1" applyProtection="1">
      <alignment horizontal="center" vertical="center"/>
      <protection/>
    </xf>
    <xf numFmtId="165" fontId="0" fillId="0" borderId="9" xfId="0" applyNumberFormat="1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165" fontId="2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165" fontId="2" fillId="5" borderId="1" xfId="21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center" vertical="center"/>
      <protection/>
    </xf>
    <xf numFmtId="165" fontId="2" fillId="4" borderId="7" xfId="0" applyNumberFormat="1" applyFont="1" applyFill="1" applyBorder="1" applyAlignment="1" applyProtection="1">
      <alignment horizontal="center" vertical="center"/>
      <protection/>
    </xf>
    <xf numFmtId="10" fontId="5" fillId="6" borderId="7" xfId="15" applyNumberFormat="1" applyFont="1" applyFill="1" applyBorder="1" applyAlignment="1" applyProtection="1">
      <alignment horizontal="center" vertical="center"/>
      <protection/>
    </xf>
    <xf numFmtId="14" fontId="0" fillId="8" borderId="13" xfId="0" applyNumberFormat="1" applyFill="1" applyBorder="1" applyProtection="1">
      <protection locked="0"/>
    </xf>
    <xf numFmtId="9" fontId="0" fillId="8" borderId="12" xfId="15" applyFont="1" applyFill="1" applyBorder="1" applyProtection="1">
      <protection locked="0"/>
    </xf>
    <xf numFmtId="9" fontId="0" fillId="8" borderId="12" xfId="0" applyNumberFormat="1" applyFill="1" applyBorder="1" applyProtection="1">
      <protection locked="0"/>
    </xf>
    <xf numFmtId="8" fontId="4" fillId="2" borderId="12" xfId="0" applyNumberFormat="1" applyFont="1" applyFill="1" applyBorder="1" applyProtection="1">
      <protection locked="0"/>
    </xf>
    <xf numFmtId="1" fontId="0" fillId="8" borderId="12" xfId="15" applyNumberFormat="1" applyFont="1" applyFill="1" applyBorder="1" applyProtection="1">
      <protection locked="0"/>
    </xf>
    <xf numFmtId="1" fontId="0" fillId="8" borderId="15" xfId="15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left" vertical="center" wrapText="1"/>
      <protection/>
    </xf>
    <xf numFmtId="0" fontId="2" fillId="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8" borderId="12" xfId="0" applyNumberFormat="1" applyFill="1" applyBorder="1" applyProtection="1">
      <protection locked="0"/>
    </xf>
    <xf numFmtId="165" fontId="0" fillId="8" borderId="15" xfId="0" applyNumberForma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Accent1" xfId="21"/>
  </cellStyles>
  <dxfs count="111">
    <dxf>
      <font>
        <b val="0"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protection hidden="1" locked="0"/>
    </dxf>
    <dxf>
      <font>
        <b val="0"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/>
        <i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92D050"/>
        </patternFill>
      </fill>
      <alignment horizontal="center" vertical="center" textRotation="0" wrapText="1" shrinkToFit="1" readingOrder="0"/>
      <border>
        <left/>
        <right/>
        <top style="thin"/>
        <bottom/>
      </border>
      <protection hidden="1" locked="0"/>
    </dxf>
    <dxf>
      <font>
        <b/>
        <i/>
      </font>
      <fill>
        <patternFill patternType="solid">
          <bgColor rgb="FF92D050"/>
        </patternFill>
      </fill>
      <alignment horizontal="center" vertical="center" textRotation="0" wrapText="1" shrinkToFit="1" readingOrder="0"/>
      <border>
        <left/>
        <right/>
        <top style="thin"/>
        <bottom/>
      </border>
      <protection hidden="1" locked="0"/>
    </dxf>
    <dxf>
      <numFmt numFmtId="165" formatCode="&quot;₹&quot;\ #,##0"/>
      <alignment horizontal="center" vertical="center" textRotation="0" wrapText="1" shrinkToFit="1" readingOrder="0"/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protection hidden="1" locked="0"/>
    </dxf>
    <dxf>
      <protection hidden="1" locked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₹&quot;\ #,##0"/>
      <fill>
        <patternFill patternType="solid">
          <fgColor theme="7"/>
          <bgColor theme="7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  <family val="2"/>
        <color theme="1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/>
        <top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alignment horizontal="center" vertical="center" textRotation="0" wrapText="1" shrinkToFit="1" readingOrder="0"/>
      <border>
        <left/>
        <right style="thin"/>
        <top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alignment horizontal="center" vertical="center" textRotation="0" wrapText="1" shrinkToFit="1" readingOrder="0"/>
      <border>
        <left/>
        <right style="thin"/>
        <top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FFC000"/>
        </patternFill>
      </fill>
      <alignment horizontal="center" vertical="center" textRotation="0" wrapText="1" shrinkToFit="1" readingOrder="0"/>
      <border>
        <left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/>
        <top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FFC000"/>
        </patternFill>
      </fill>
      <alignment horizontal="center" vertical="center" textRotation="0" wrapText="1" shrinkToFit="1" readingOrder="0"/>
      <border>
        <left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FFC000"/>
        </patternFill>
      </fill>
      <alignment horizontal="center" vertical="center" textRotation="0" wrapText="1" shrinkToFit="1" readingOrder="0"/>
      <border>
        <left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fill>
        <patternFill patternType="solid">
          <bgColor rgb="FFFFC000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/>
      </font>
      <fill>
        <patternFill patternType="solid">
          <bgColor rgb="FFFFC000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alignment horizontal="center" vertical="center" textRotation="0" wrapText="1" shrinkToFit="1" readingOrder="0"/>
      <border>
        <left/>
        <right style="thin"/>
        <top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</dxf>
    <dxf>
      <border>
        <bottom style="thin"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5" formatCode="&quot;₹&quot;\ 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₹&quot;\ #,##0"/>
      <fill>
        <patternFill patternType="solid">
          <fgColor theme="7"/>
          <bgColor theme="7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theme="1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theme="1"/>
      </font>
      <numFmt numFmtId="165" formatCode="&quot;₹&quot;\ #,##0"/>
      <fill>
        <patternFill patternType="none"/>
      </fill>
      <alignment horizontal="center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₹&quot;\ 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Q1:U9" totalsRowShown="0" headerRowDxfId="110" dataDxfId="108" tableBorderDxfId="107" headerRowBorderDxfId="109" totalsRowBorderDxfId="106">
  <tableColumns count="5">
    <tableColumn id="1" name=" " dataDxfId="105"/>
    <tableColumn id="2" name="Physical Gold" dataDxfId="104"/>
    <tableColumn id="3" name="Digital Gold" dataDxfId="103"/>
    <tableColumn id="4" name="ETF" dataDxfId="102"/>
    <tableColumn id="5" name="SGB" dataDxfId="101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Q12:U18" totalsRowShown="0" headerRowDxfId="100" dataDxfId="98" tableBorderDxfId="97" headerRowBorderDxfId="99" totalsRowBorderDxfId="96">
  <autoFilter ref="Q12:U18"/>
  <tableColumns count="5">
    <tableColumn id="1" name=" " dataDxfId="95" totalsRowDxfId="94"/>
    <tableColumn id="2" name="Physical Gold" dataDxfId="93" totalsRowDxfId="92"/>
    <tableColumn id="3" name="Digital Gold" dataDxfId="91" totalsRowDxfId="90"/>
    <tableColumn id="4" name="ETF" dataDxfId="89" totalsRowDxfId="88"/>
    <tableColumn id="5" name="SGB" dataDxfId="87" totalsRowFunction="sum" totalsRowDxfId="86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Q21:U24" headerRowCount="0" totalsRowShown="0" headerRowDxfId="85" dataDxfId="83" tableBorderDxfId="82" headerRowBorderDxfId="84" totalsRowBorderDxfId="81">
  <tableColumns count="5">
    <tableColumn id="1" name="Column1" dataDxfId="79" headerRowDxfId="80"/>
    <tableColumn id="2" name="Column2" dataDxfId="77" headerRowDxfId="78"/>
    <tableColumn id="3" name="Column3" dataDxfId="75" headerRowDxfId="76"/>
    <tableColumn id="4" name="Column4" dataDxfId="73" headerRowDxfId="74"/>
    <tableColumn id="5" name="Column5" dataDxfId="71" headerRowDxfId="72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Q28:U28" headerRowCount="0" totalsRowShown="0" headerRowDxfId="70" dataDxfId="68" tableBorderDxfId="67" headerRowBorderDxfId="69" totalsRowBorderDxfId="66">
  <tableColumns count="5">
    <tableColumn id="1" name="Column1" dataDxfId="64" headerRowDxfId="65"/>
    <tableColumn id="2" name="Column2" dataDxfId="62" headerRowDxfId="63">
      <calculatedColumnFormula>_xlfn.RRI(5,R10,R25)</calculatedColumnFormula>
    </tableColumn>
    <tableColumn id="3" name="Column3" dataDxfId="60" headerRowDxfId="61">
      <calculatedColumnFormula>_xlfn.RRI(5,S10,S25)</calculatedColumnFormula>
    </tableColumn>
    <tableColumn id="4" name="Column4" dataDxfId="58" headerRowDxfId="59">
      <calculatedColumnFormula>_xlfn.RRI(5,T10,T25)</calculatedColumnFormula>
    </tableColumn>
    <tableColumn id="5" name="Column5" dataDxfId="56" headerRowDxfId="57">
      <calculatedColumnFormula>_xlfn.RRI(5,U10,U25)</calculatedColumnFormula>
    </tableColumn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6" name="Table17" displayName="Table17" ref="A11:E19" totalsRowShown="0" headerRowDxfId="23" dataDxfId="22" tableBorderDxfId="54" headerRowBorderDxfId="55" totalsRowBorderDxfId="53">
  <tableColumns count="5">
    <tableColumn id="1" name=" " dataDxfId="28"/>
    <tableColumn id="2" name="Physical Gold" dataDxfId="27"/>
    <tableColumn id="3" name="Digital Gold" dataDxfId="26"/>
    <tableColumn id="4" name="ETF" dataDxfId="25"/>
    <tableColumn id="5" name="SGB" dataDxfId="24"/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id="7" name="Table28" displayName="Table28" ref="A22:E28" totalsRowShown="0" headerRowDxfId="16" dataDxfId="14" totalsRowDxfId="15" tableBorderDxfId="51" headerRowBorderDxfId="52" totalsRowBorderDxfId="50">
  <autoFilter ref="A22:E28"/>
  <tableColumns count="5">
    <tableColumn id="1" name=" " dataDxfId="21" totalsRowDxfId="49"/>
    <tableColumn id="2" name="Physical Gold" dataDxfId="20" totalsRowDxfId="48"/>
    <tableColumn id="3" name="Digital Gold" dataDxfId="19" totalsRowDxfId="47"/>
    <tableColumn id="4" name="ETF" dataDxfId="18" totalsRowDxfId="46"/>
    <tableColumn id="5" name="SGB" dataDxfId="17" totalsRowFunction="sum" totalsRowDxfId="45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id="8" name="Table49" displayName="Table49" ref="A31:E34" headerRowCount="0" totalsRowShown="0" headerRowDxfId="8" dataDxfId="7" tableBorderDxfId="43" headerRowBorderDxfId="44" totalsRowBorderDxfId="42">
  <tableColumns count="5">
    <tableColumn id="1" name="Column1" dataDxfId="13" headerRowDxfId="41"/>
    <tableColumn id="2" name="Column2" dataDxfId="12" headerRowDxfId="40"/>
    <tableColumn id="3" name="Column3" dataDxfId="11" headerRowDxfId="39"/>
    <tableColumn id="4" name="Column4" dataDxfId="10" headerRowDxfId="38"/>
    <tableColumn id="5" name="Column5" dataDxfId="9" headerRowDxfId="37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9" name="Table510" displayName="Table510" ref="A36:E36" headerRowCount="0" totalsRowShown="0" headerRowDxfId="1" dataDxfId="0" tableBorderDxfId="35" headerRowBorderDxfId="36" totalsRowBorderDxfId="34">
  <tableColumns count="5">
    <tableColumn id="1" name="Column1" dataDxfId="6" headerRowDxfId="33"/>
    <tableColumn id="2" name="Column2" dataDxfId="5" headerRowDxfId="32">
      <calculatedColumnFormula>_xlfn.RRI($E$4,B20,B35)</calculatedColumnFormula>
    </tableColumn>
    <tableColumn id="3" name="Column3" dataDxfId="4" headerRowDxfId="31">
      <calculatedColumnFormula>_xlfn.RRI($E$4,C20,C35)</calculatedColumnFormula>
    </tableColumn>
    <tableColumn id="4" name="Column4" dataDxfId="3" headerRowDxfId="30">
      <calculatedColumnFormula>_xlfn.RRI($E$4,D20,D35)</calculatedColumnFormula>
    </tableColumn>
    <tableColumn id="5" name="Column5" dataDxfId="2" headerRowDxfId="29">
      <calculatedColumnFormula>_xlfn.RRI($E$4,E20,E35)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T@3%25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T@3%25" TargetMode="External" /><Relationship Id="rId2" Type="http://schemas.openxmlformats.org/officeDocument/2006/relationships/hyperlink" Target="https://taxguru.in/income-tax/cost-inflation-index-meaning-and-index-for-all-the-years.html" TargetMode="Externa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71D0-A36D-40F6-A62F-E354A0C39537}">
  <dimension ref="A1:Z32"/>
  <sheetViews>
    <sheetView workbookViewId="0" topLeftCell="A1">
      <selection activeCell="B21" sqref="B21"/>
    </sheetView>
  </sheetViews>
  <sheetFormatPr defaultColWidth="9.140625" defaultRowHeight="15"/>
  <cols>
    <col min="1" max="16" width="9.00390625" style="1" customWidth="1"/>
    <col min="17" max="17" width="44.00390625" style="1" bestFit="1" customWidth="1"/>
    <col min="18" max="18" width="19.7109375" style="2" customWidth="1"/>
    <col min="19" max="19" width="14.421875" style="2" customWidth="1"/>
    <col min="20" max="20" width="13.00390625" style="2" customWidth="1"/>
    <col min="21" max="21" width="11.00390625" style="2" customWidth="1"/>
    <col min="22" max="22" width="9.00390625" style="1" customWidth="1"/>
    <col min="23" max="23" width="10.00390625" style="1" bestFit="1" customWidth="1"/>
    <col min="24" max="16384" width="9.00390625" style="1" customWidth="1"/>
  </cols>
  <sheetData>
    <row r="1" spans="1:21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 t="s">
        <v>9</v>
      </c>
      <c r="R1" s="12" t="s">
        <v>5</v>
      </c>
      <c r="S1" s="12" t="s">
        <v>6</v>
      </c>
      <c r="T1" s="12" t="s">
        <v>7</v>
      </c>
      <c r="U1" s="13" t="s">
        <v>8</v>
      </c>
    </row>
    <row r="2" spans="1:2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4" t="s">
        <v>10</v>
      </c>
      <c r="R2" s="15">
        <v>5000</v>
      </c>
      <c r="S2" s="15">
        <v>5000</v>
      </c>
      <c r="T2" s="15">
        <v>5000</v>
      </c>
      <c r="U2" s="16">
        <f>5000-50</f>
        <v>4950</v>
      </c>
    </row>
    <row r="3" spans="1:2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4" t="s">
        <v>11</v>
      </c>
      <c r="R3" s="17">
        <f>R4/R2</f>
        <v>20</v>
      </c>
      <c r="S3" s="17">
        <f>S4/S2</f>
        <v>20</v>
      </c>
      <c r="T3" s="17">
        <f>T4/T2</f>
        <v>20</v>
      </c>
      <c r="U3" s="18">
        <f>U4/U2</f>
        <v>20.2020202020202</v>
      </c>
      <c r="W3" s="3">
        <f>S2*0.5%</f>
        <v>25</v>
      </c>
    </row>
    <row r="4" spans="1:21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9" t="s">
        <v>12</v>
      </c>
      <c r="R4" s="9">
        <v>100000</v>
      </c>
      <c r="S4" s="9">
        <v>100000</v>
      </c>
      <c r="T4" s="9">
        <v>100000</v>
      </c>
      <c r="U4" s="10">
        <v>100000</v>
      </c>
    </row>
    <row r="5" spans="1:26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4" t="s">
        <v>0</v>
      </c>
      <c r="R5" s="15">
        <f>R4*0.03</f>
        <v>3000</v>
      </c>
      <c r="S5" s="15">
        <f>S4*0.03</f>
        <v>3000</v>
      </c>
      <c r="T5" s="15">
        <v>0</v>
      </c>
      <c r="U5" s="16">
        <v>0</v>
      </c>
      <c r="W5" s="4">
        <v>4846.41</v>
      </c>
      <c r="X5" s="5">
        <f>(W5-W6)/W5</f>
        <v>0.030154279146832278</v>
      </c>
      <c r="Y5" s="1">
        <v>80</v>
      </c>
      <c r="Z5" s="1">
        <f>20/80</f>
        <v>0.25</v>
      </c>
    </row>
    <row r="6" spans="1:26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4" t="s">
        <v>2</v>
      </c>
      <c r="R6" s="15">
        <f>R4*12%</f>
        <v>12000</v>
      </c>
      <c r="S6" s="15">
        <v>0</v>
      </c>
      <c r="T6" s="15">
        <v>0</v>
      </c>
      <c r="U6" s="16">
        <v>0</v>
      </c>
      <c r="W6" s="2">
        <v>4700.27</v>
      </c>
      <c r="X6" s="5">
        <f>(W5-W6)/W6</f>
        <v>0.03109183089482081</v>
      </c>
      <c r="Y6" s="2">
        <v>100</v>
      </c>
      <c r="Z6" s="1">
        <f>20/100</f>
        <v>0.2</v>
      </c>
    </row>
    <row r="7" spans="1:21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4" t="s">
        <v>4</v>
      </c>
      <c r="R7" s="15">
        <f>R6*3%</f>
        <v>360</v>
      </c>
      <c r="S7" s="15">
        <v>0</v>
      </c>
      <c r="T7" s="15">
        <v>0</v>
      </c>
      <c r="U7" s="16">
        <v>0</v>
      </c>
    </row>
    <row r="8" spans="1:21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4" t="s">
        <v>25</v>
      </c>
      <c r="R8" s="15">
        <f>2000*5</f>
        <v>10000</v>
      </c>
      <c r="S8" s="15"/>
      <c r="T8" s="15"/>
      <c r="U8" s="16"/>
    </row>
    <row r="9" spans="1:21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20" t="s">
        <v>14</v>
      </c>
      <c r="R9" s="21"/>
      <c r="S9" s="21"/>
      <c r="T9" s="21">
        <f>T4*0.5%*5</f>
        <v>2500</v>
      </c>
      <c r="U9" s="22"/>
    </row>
    <row r="10" spans="17:21" s="6" customFormat="1" ht="15">
      <c r="Q10" s="23" t="s">
        <v>13</v>
      </c>
      <c r="R10" s="24">
        <f>SUM(R4,R5,R6,R7,R9)</f>
        <v>115360</v>
      </c>
      <c r="S10" s="24">
        <f>SUM(S4,S5,S6,S7,S9)</f>
        <v>103000</v>
      </c>
      <c r="T10" s="24">
        <f>SUM(T4,T5,T6,T7,T9)</f>
        <v>102500</v>
      </c>
      <c r="U10" s="24">
        <f>SUM(U4,U5,U6,U7,U9)</f>
        <v>100000</v>
      </c>
    </row>
    <row r="11" spans="17:21" s="6" customFormat="1" ht="15">
      <c r="Q11" s="1"/>
      <c r="R11" s="1"/>
      <c r="S11" s="1"/>
      <c r="T11" s="1"/>
      <c r="U11" s="1"/>
    </row>
    <row r="12" spans="1:21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9</v>
      </c>
      <c r="R12" s="27" t="s">
        <v>5</v>
      </c>
      <c r="S12" s="27" t="s">
        <v>6</v>
      </c>
      <c r="T12" s="27" t="s">
        <v>7</v>
      </c>
      <c r="U12" s="28" t="s">
        <v>8</v>
      </c>
    </row>
    <row r="13" spans="1:2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 t="s">
        <v>26</v>
      </c>
      <c r="R13" s="2">
        <f>FV(5%,5,0,-R2,1)</f>
        <v>6381.407812500001</v>
      </c>
      <c r="S13" s="2">
        <f>FV(5%,5,0,-S2,1)</f>
        <v>6381.407812500001</v>
      </c>
      <c r="T13" s="2">
        <f>FV(5%,5,0,-T2,1)</f>
        <v>6381.407812500001</v>
      </c>
      <c r="U13" s="8">
        <f>T13</f>
        <v>6381.407812500001</v>
      </c>
    </row>
    <row r="14" spans="1:21" ht="28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2" t="s">
        <v>15</v>
      </c>
      <c r="R14" s="2">
        <f>R13*0.99</f>
        <v>6317.593734375</v>
      </c>
      <c r="S14" s="2">
        <f>S13*0.97</f>
        <v>6189.965578125</v>
      </c>
      <c r="T14" s="2">
        <f>T13</f>
        <v>6381.407812500001</v>
      </c>
      <c r="U14" s="8">
        <f>U13</f>
        <v>6381.407812500001</v>
      </c>
    </row>
    <row r="15" spans="1:2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 t="s">
        <v>16</v>
      </c>
      <c r="R15" s="2">
        <f>R14*R3</f>
        <v>126351.8746875</v>
      </c>
      <c r="S15" s="2">
        <f>S14*S3</f>
        <v>123799.3115625</v>
      </c>
      <c r="T15" s="2">
        <f>T14*T3</f>
        <v>127628.15625000001</v>
      </c>
      <c r="U15" s="8">
        <f>U14*U3</f>
        <v>128917.32954545454</v>
      </c>
    </row>
    <row r="16" spans="1:2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 t="s">
        <v>19</v>
      </c>
      <c r="R16" s="2">
        <v>0</v>
      </c>
      <c r="S16" s="2">
        <v>0</v>
      </c>
      <c r="T16" s="2">
        <v>0</v>
      </c>
      <c r="U16" s="8">
        <f>U4*2.5%*5</f>
        <v>12500</v>
      </c>
    </row>
    <row r="17" spans="1:2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 t="s">
        <v>17</v>
      </c>
      <c r="R17" s="2">
        <v>0</v>
      </c>
      <c r="S17" s="2">
        <v>0</v>
      </c>
      <c r="T17" s="2">
        <v>0</v>
      </c>
      <c r="U17" s="8">
        <f>U16*0.7</f>
        <v>8750</v>
      </c>
    </row>
    <row r="18" spans="1:23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9" t="s">
        <v>18</v>
      </c>
      <c r="R18" s="30">
        <f>R15+R17</f>
        <v>126351.8746875</v>
      </c>
      <c r="S18" s="30">
        <f>S15+S17</f>
        <v>123799.3115625</v>
      </c>
      <c r="T18" s="30">
        <f>T15+T17</f>
        <v>127628.15625000001</v>
      </c>
      <c r="U18" s="31">
        <f>U15+U17</f>
        <v>137667.32954545453</v>
      </c>
      <c r="W18" s="33"/>
    </row>
    <row r="20" spans="17:21" ht="15">
      <c r="Q20" s="36" t="s">
        <v>9</v>
      </c>
      <c r="R20" s="37" t="s">
        <v>5</v>
      </c>
      <c r="S20" s="37" t="s">
        <v>6</v>
      </c>
      <c r="T20" s="37" t="s">
        <v>7</v>
      </c>
      <c r="U20" s="37" t="s">
        <v>8</v>
      </c>
    </row>
    <row r="21" spans="1:21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 t="s">
        <v>27</v>
      </c>
      <c r="R21" s="2">
        <f>R18</f>
        <v>126351.8746875</v>
      </c>
      <c r="S21" s="2">
        <f aca="true" t="shared" si="0" ref="S21:U21">S18</f>
        <v>123799.3115625</v>
      </c>
      <c r="T21" s="2">
        <f t="shared" si="0"/>
        <v>127628.15625000001</v>
      </c>
      <c r="U21" s="2">
        <f t="shared" si="0"/>
        <v>137667.32954545453</v>
      </c>
    </row>
    <row r="22" spans="1:21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 t="s">
        <v>21</v>
      </c>
      <c r="R22" s="2">
        <f>FV(3%,5,0,-R4,1)</f>
        <v>115927.40742999998</v>
      </c>
      <c r="S22" s="2">
        <f aca="true" t="shared" si="1" ref="S22:U22">FV(3%,5,0,-S4,1)</f>
        <v>115927.40742999998</v>
      </c>
      <c r="T22" s="2">
        <f t="shared" si="1"/>
        <v>115927.40742999998</v>
      </c>
      <c r="U22" s="2">
        <f t="shared" si="1"/>
        <v>115927.40742999998</v>
      </c>
    </row>
    <row r="23" spans="1:2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 t="s">
        <v>22</v>
      </c>
      <c r="R23" s="2">
        <f>R18-R22</f>
        <v>10424.46725750003</v>
      </c>
      <c r="S23" s="2">
        <f>S18-S22</f>
        <v>7871.904132500029</v>
      </c>
      <c r="T23" s="2">
        <f>T18-T22</f>
        <v>11700.748820000037</v>
      </c>
      <c r="U23" s="8">
        <f>U18-U22</f>
        <v>21739.922115454552</v>
      </c>
    </row>
    <row r="24" spans="1:21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 t="s">
        <v>23</v>
      </c>
      <c r="R24" s="35">
        <f>R23*0.2</f>
        <v>2084.893451500006</v>
      </c>
      <c r="S24" s="35">
        <f aca="true" t="shared" si="2" ref="S24:U24">S23*0.2</f>
        <v>1574.380826500006</v>
      </c>
      <c r="T24" s="35">
        <f t="shared" si="2"/>
        <v>2340.1497640000075</v>
      </c>
      <c r="U24" s="35">
        <f t="shared" si="2"/>
        <v>4347.98442309091</v>
      </c>
    </row>
    <row r="25" spans="1:21" s="6" customFormat="1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29" t="s">
        <v>24</v>
      </c>
      <c r="R25" s="38">
        <f>R18-R24</f>
        <v>124266.981236</v>
      </c>
      <c r="S25" s="38">
        <f>S18-S24</f>
        <v>122224.930736</v>
      </c>
      <c r="T25" s="38">
        <f>T18-T24</f>
        <v>125288.00648600001</v>
      </c>
      <c r="U25" s="38">
        <f>U18-U24</f>
        <v>133319.34512236362</v>
      </c>
    </row>
    <row r="26" spans="17:21" s="6" customFormat="1" ht="15">
      <c r="Q26" s="1"/>
      <c r="R26" s="1"/>
      <c r="S26" s="1"/>
      <c r="T26" s="1"/>
      <c r="U26" s="1"/>
    </row>
    <row r="27" spans="1:21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/>
      <c r="R27"/>
      <c r="S27"/>
      <c r="T27"/>
      <c r="U27"/>
    </row>
    <row r="28" spans="1:21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9" t="s">
        <v>20</v>
      </c>
      <c r="R28" s="39">
        <f>_xlfn.RRI(5,R10,R25)</f>
        <v>0.014986112771686155</v>
      </c>
      <c r="S28" s="39">
        <f aca="true" t="shared" si="3" ref="S28:U28">_xlfn.RRI(5,S10,S25)</f>
        <v>0.034819288208869814</v>
      </c>
      <c r="T28" s="39">
        <f t="shared" si="3"/>
        <v>0.04096739476463296</v>
      </c>
      <c r="U28" s="39">
        <f t="shared" si="3"/>
        <v>0.059201615146261766</v>
      </c>
    </row>
    <row r="29" ht="15">
      <c r="Q29" s="2"/>
    </row>
    <row r="30" spans="18:19" ht="15">
      <c r="R30" s="2">
        <v>33823</v>
      </c>
      <c r="S30" s="2">
        <v>40777.8</v>
      </c>
    </row>
    <row r="31" spans="18:19" ht="15">
      <c r="R31" s="2">
        <v>46619</v>
      </c>
      <c r="S31" s="2">
        <v>46617.19</v>
      </c>
    </row>
    <row r="32" spans="18:19" ht="15">
      <c r="R32" s="7">
        <f>_xlfn.RRI(5,R30,R31)</f>
        <v>0.06627730483538574</v>
      </c>
      <c r="S32" s="7">
        <f>_xlfn.RRI(5,S30,S31)</f>
        <v>0.027127743497133316</v>
      </c>
    </row>
  </sheetData>
  <sheetProtection algorithmName="SHA-512" hashValue="azijAFRZuMaRYpiQkM/cD5a6kE7idA3eIzePF4qcsFqKeXClu6rCtDlCzyTw9z5Yt0IrvTb5GsWehf1XU8uJGA==" saltValue="Qsl4HiGbk+59aw0Jq+EAmQ==" spinCount="100000" sheet="1" objects="1" scenarios="1" selectLockedCells="1" selectUnlockedCells="1"/>
  <hyperlinks>
    <hyperlink ref="Q5" r:id="rId1" display="mailto:GST@3%25"/>
  </hyperlinks>
  <printOptions/>
  <pageMargins left="0.7" right="0.7" top="0.75" bottom="0.75" header="0.3" footer="0.3"/>
  <pageSetup horizontalDpi="600" verticalDpi="600" orientation="portrait" r:id="rId6"/>
  <tableParts>
    <tablePart r:id="rId5"/>
    <tablePart r:id="rId2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85C2-AF9D-4AA8-BCD3-CB65F63E8BCF}">
  <dimension ref="A1:J36"/>
  <sheetViews>
    <sheetView tabSelected="1" zoomScale="90" zoomScaleNormal="90" workbookViewId="0" topLeftCell="A1">
      <selection activeCell="G26" sqref="G26"/>
    </sheetView>
  </sheetViews>
  <sheetFormatPr defaultColWidth="9.140625" defaultRowHeight="15"/>
  <cols>
    <col min="1" max="1" width="35.7109375" style="47" bestFit="1" customWidth="1"/>
    <col min="2" max="2" width="15.8515625" style="47" bestFit="1" customWidth="1"/>
    <col min="3" max="3" width="13.28125" style="47" customWidth="1"/>
    <col min="4" max="4" width="29.57421875" style="47" customWidth="1"/>
    <col min="5" max="5" width="16.00390625" style="47" bestFit="1" customWidth="1"/>
    <col min="6" max="6" width="5.140625" style="47" customWidth="1"/>
    <col min="7" max="10" width="9.00390625" style="47" customWidth="1"/>
    <col min="11" max="11" width="22.8515625" style="47" customWidth="1"/>
    <col min="12" max="16384" width="9.00390625" style="47" customWidth="1"/>
  </cols>
  <sheetData>
    <row r="1" spans="1:8" ht="71.25" customHeight="1">
      <c r="A1" s="96" t="s">
        <v>47</v>
      </c>
      <c r="B1" s="96"/>
      <c r="C1" s="96"/>
      <c r="D1" s="96"/>
      <c r="E1" s="96"/>
      <c r="F1" s="96"/>
      <c r="G1" s="96"/>
      <c r="H1" s="96"/>
    </row>
    <row r="2" ht="14.65" thickBot="1"/>
    <row r="3" spans="1:9" ht="14.25" customHeight="1" thickBot="1">
      <c r="A3" s="46" t="s">
        <v>34</v>
      </c>
      <c r="B3" s="89">
        <v>42579</v>
      </c>
      <c r="D3" s="46" t="s">
        <v>28</v>
      </c>
      <c r="E3" s="89">
        <v>44405</v>
      </c>
      <c r="G3" s="48" t="s">
        <v>36</v>
      </c>
      <c r="H3" s="48"/>
      <c r="I3" s="48"/>
    </row>
    <row r="4" spans="1:10" ht="42.75">
      <c r="A4" s="49" t="s">
        <v>37</v>
      </c>
      <c r="B4" s="99">
        <v>2830</v>
      </c>
      <c r="D4" s="49" t="s">
        <v>42</v>
      </c>
      <c r="E4" s="50">
        <f>ROUND((E3-B3)/365,0)</f>
        <v>5</v>
      </c>
      <c r="G4" s="51" t="s">
        <v>30</v>
      </c>
      <c r="H4" s="52" t="s">
        <v>31</v>
      </c>
      <c r="J4" s="53"/>
    </row>
    <row r="5" spans="1:8" ht="15">
      <c r="A5" s="49" t="s">
        <v>38</v>
      </c>
      <c r="B5" s="99">
        <v>100000</v>
      </c>
      <c r="D5" s="49" t="s">
        <v>43</v>
      </c>
      <c r="E5" s="91">
        <v>0.1</v>
      </c>
      <c r="G5" s="54">
        <v>2001</v>
      </c>
      <c r="H5" s="55">
        <v>100</v>
      </c>
    </row>
    <row r="6" spans="1:8" ht="15">
      <c r="A6" s="49" t="s">
        <v>39</v>
      </c>
      <c r="B6" s="99">
        <v>50</v>
      </c>
      <c r="D6" s="49" t="s">
        <v>44</v>
      </c>
      <c r="E6" s="92">
        <f>FV(E5,E4,0,-B4,0)</f>
        <v>4557.743300000002</v>
      </c>
      <c r="G6" s="54">
        <v>2002</v>
      </c>
      <c r="H6" s="55">
        <v>105</v>
      </c>
    </row>
    <row r="7" spans="1:8" ht="28.5">
      <c r="A7" s="49" t="s">
        <v>41</v>
      </c>
      <c r="B7" s="90">
        <v>0.12</v>
      </c>
      <c r="D7" s="56" t="s">
        <v>45</v>
      </c>
      <c r="E7" s="93">
        <v>264</v>
      </c>
      <c r="G7" s="54">
        <v>2003</v>
      </c>
      <c r="H7" s="55">
        <v>109</v>
      </c>
    </row>
    <row r="8" spans="1:8" ht="28.9" thickBot="1">
      <c r="A8" s="57" t="s">
        <v>40</v>
      </c>
      <c r="B8" s="100">
        <v>2000</v>
      </c>
      <c r="D8" s="58" t="s">
        <v>46</v>
      </c>
      <c r="E8" s="94">
        <v>317</v>
      </c>
      <c r="G8" s="54">
        <v>2004</v>
      </c>
      <c r="H8" s="55">
        <v>113</v>
      </c>
    </row>
    <row r="9" spans="7:8" ht="15">
      <c r="G9" s="54">
        <v>2005</v>
      </c>
      <c r="H9" s="55">
        <v>117</v>
      </c>
    </row>
    <row r="10" spans="7:8" ht="15">
      <c r="G10" s="54">
        <v>2006</v>
      </c>
      <c r="H10" s="55">
        <v>122</v>
      </c>
    </row>
    <row r="11" spans="1:8" ht="15">
      <c r="A11" s="59" t="s">
        <v>9</v>
      </c>
      <c r="B11" s="60" t="s">
        <v>5</v>
      </c>
      <c r="C11" s="60" t="s">
        <v>6</v>
      </c>
      <c r="D11" s="60" t="s">
        <v>7</v>
      </c>
      <c r="E11" s="61" t="s">
        <v>8</v>
      </c>
      <c r="G11" s="54">
        <v>2007</v>
      </c>
      <c r="H11" s="55">
        <v>129</v>
      </c>
    </row>
    <row r="12" spans="1:8" ht="15">
      <c r="A12" s="62" t="s">
        <v>10</v>
      </c>
      <c r="B12" s="63">
        <f>$B$4</f>
        <v>2830</v>
      </c>
      <c r="C12" s="63">
        <f aca="true" t="shared" si="0" ref="C12:D12">$B$4</f>
        <v>2830</v>
      </c>
      <c r="D12" s="63">
        <f t="shared" si="0"/>
        <v>2830</v>
      </c>
      <c r="E12" s="63">
        <f>$B$4-B6</f>
        <v>2780</v>
      </c>
      <c r="G12" s="54">
        <v>2008</v>
      </c>
      <c r="H12" s="55">
        <v>137</v>
      </c>
    </row>
    <row r="13" spans="1:8" ht="15">
      <c r="A13" s="62" t="s">
        <v>11</v>
      </c>
      <c r="B13" s="64">
        <f>B14/B12</f>
        <v>35.3356890459364</v>
      </c>
      <c r="C13" s="64">
        <f>C14/C12</f>
        <v>35.3356890459364</v>
      </c>
      <c r="D13" s="64">
        <f>D14/D12</f>
        <v>35.3356890459364</v>
      </c>
      <c r="E13" s="65">
        <f>E14/E12</f>
        <v>35.97122302158273</v>
      </c>
      <c r="G13" s="54">
        <v>2009</v>
      </c>
      <c r="H13" s="55">
        <v>148</v>
      </c>
    </row>
    <row r="14" spans="1:8" ht="15">
      <c r="A14" s="66" t="s">
        <v>12</v>
      </c>
      <c r="B14" s="67">
        <v>100000</v>
      </c>
      <c r="C14" s="67">
        <v>100000</v>
      </c>
      <c r="D14" s="67">
        <v>100000</v>
      </c>
      <c r="E14" s="68">
        <v>100000</v>
      </c>
      <c r="G14" s="54">
        <v>2010</v>
      </c>
      <c r="H14" s="55">
        <v>167</v>
      </c>
    </row>
    <row r="15" spans="1:8" ht="15">
      <c r="A15" s="62" t="s">
        <v>0</v>
      </c>
      <c r="B15" s="63">
        <f>B14*0.03</f>
        <v>3000</v>
      </c>
      <c r="C15" s="63">
        <f>C14*0.03</f>
        <v>3000</v>
      </c>
      <c r="D15" s="63">
        <v>0</v>
      </c>
      <c r="E15" s="69">
        <v>0</v>
      </c>
      <c r="G15" s="54">
        <v>2011</v>
      </c>
      <c r="H15" s="55">
        <v>184</v>
      </c>
    </row>
    <row r="16" spans="1:8" ht="15">
      <c r="A16" s="62" t="s">
        <v>1</v>
      </c>
      <c r="B16" s="63">
        <f>B14*B7</f>
        <v>12000</v>
      </c>
      <c r="C16" s="63">
        <v>0</v>
      </c>
      <c r="D16" s="63">
        <v>0</v>
      </c>
      <c r="E16" s="69">
        <v>0</v>
      </c>
      <c r="G16" s="54">
        <v>2012</v>
      </c>
      <c r="H16" s="55">
        <v>200</v>
      </c>
    </row>
    <row r="17" spans="1:8" ht="15">
      <c r="A17" s="62" t="s">
        <v>4</v>
      </c>
      <c r="B17" s="63">
        <f>B16*3%</f>
        <v>360</v>
      </c>
      <c r="C17" s="63">
        <v>0</v>
      </c>
      <c r="D17" s="63">
        <v>0</v>
      </c>
      <c r="E17" s="69">
        <v>0</v>
      </c>
      <c r="G17" s="54">
        <v>2013</v>
      </c>
      <c r="H17" s="55">
        <v>220</v>
      </c>
    </row>
    <row r="18" spans="1:8" ht="15">
      <c r="A18" s="62" t="s">
        <v>3</v>
      </c>
      <c r="B18" s="63">
        <f>B8*E4</f>
        <v>10000</v>
      </c>
      <c r="C18" s="63"/>
      <c r="D18" s="63"/>
      <c r="E18" s="69"/>
      <c r="G18" s="54">
        <v>2014</v>
      </c>
      <c r="H18" s="55">
        <v>240</v>
      </c>
    </row>
    <row r="19" spans="1:8" ht="15">
      <c r="A19" s="70" t="s">
        <v>14</v>
      </c>
      <c r="B19" s="71"/>
      <c r="C19" s="71"/>
      <c r="D19" s="71">
        <f>D14*0.5%*E4</f>
        <v>2500</v>
      </c>
      <c r="E19" s="72"/>
      <c r="G19" s="54">
        <v>2015</v>
      </c>
      <c r="H19" s="55">
        <v>254</v>
      </c>
    </row>
    <row r="20" spans="1:8" ht="15">
      <c r="A20" s="73" t="s">
        <v>13</v>
      </c>
      <c r="B20" s="74">
        <f>SUM(B14,B15,B16,B17,B19)</f>
        <v>115360</v>
      </c>
      <c r="C20" s="74">
        <f>SUM(C14,C15,C16,C17,C19)</f>
        <v>103000</v>
      </c>
      <c r="D20" s="74">
        <f>SUM(D14,D15,D16,D17,D19)</f>
        <v>102500</v>
      </c>
      <c r="E20" s="74">
        <f>SUM(E14,E15,E16,E17,E19)</f>
        <v>100000</v>
      </c>
      <c r="G20" s="54">
        <v>2016</v>
      </c>
      <c r="H20" s="55">
        <v>264</v>
      </c>
    </row>
    <row r="21" spans="1:8" ht="15">
      <c r="A21" s="75"/>
      <c r="B21" s="75"/>
      <c r="C21" s="75"/>
      <c r="D21" s="75"/>
      <c r="E21" s="75"/>
      <c r="G21" s="54">
        <v>2017</v>
      </c>
      <c r="H21" s="55">
        <v>272</v>
      </c>
    </row>
    <row r="22" spans="1:8" ht="15">
      <c r="A22" s="76" t="s">
        <v>9</v>
      </c>
      <c r="B22" s="40" t="s">
        <v>5</v>
      </c>
      <c r="C22" s="40" t="s">
        <v>6</v>
      </c>
      <c r="D22" s="40" t="s">
        <v>7</v>
      </c>
      <c r="E22" s="41" t="s">
        <v>8</v>
      </c>
      <c r="G22" s="54">
        <v>2018</v>
      </c>
      <c r="H22" s="55">
        <v>280</v>
      </c>
    </row>
    <row r="23" spans="1:8" ht="15">
      <c r="A23" s="77" t="s">
        <v>26</v>
      </c>
      <c r="B23" s="78">
        <f>$E$6</f>
        <v>4557.743300000002</v>
      </c>
      <c r="C23" s="78">
        <f aca="true" t="shared" si="1" ref="C23:E23">$E$6</f>
        <v>4557.743300000002</v>
      </c>
      <c r="D23" s="78">
        <f t="shared" si="1"/>
        <v>4557.743300000002</v>
      </c>
      <c r="E23" s="78">
        <f t="shared" si="1"/>
        <v>4557.743300000002</v>
      </c>
      <c r="G23" s="54">
        <v>2019</v>
      </c>
      <c r="H23" s="55">
        <v>289</v>
      </c>
    </row>
    <row r="24" spans="1:8" ht="28.5">
      <c r="A24" s="79" t="s">
        <v>15</v>
      </c>
      <c r="B24" s="78">
        <f>B23*0.99</f>
        <v>4512.1658670000015</v>
      </c>
      <c r="C24" s="78">
        <f>C23*0.97</f>
        <v>4421.011001000002</v>
      </c>
      <c r="D24" s="78">
        <f>D23</f>
        <v>4557.743300000002</v>
      </c>
      <c r="E24" s="80">
        <f>E23</f>
        <v>4557.743300000002</v>
      </c>
      <c r="G24" s="54">
        <v>2020</v>
      </c>
      <c r="H24" s="55">
        <v>301</v>
      </c>
    </row>
    <row r="25" spans="1:8" ht="14.65" thickBot="1">
      <c r="A25" s="77" t="s">
        <v>16</v>
      </c>
      <c r="B25" s="78">
        <f>B24*B13</f>
        <v>159440.49000000008</v>
      </c>
      <c r="C25" s="78">
        <f>C24*C13</f>
        <v>156219.47000000006</v>
      </c>
      <c r="D25" s="78">
        <f>D24*D13</f>
        <v>161051.0000000001</v>
      </c>
      <c r="E25" s="80">
        <f>E24*E13</f>
        <v>163947.60071942452</v>
      </c>
      <c r="G25" s="81">
        <v>2021</v>
      </c>
      <c r="H25" s="82">
        <v>317</v>
      </c>
    </row>
    <row r="26" spans="1:8" ht="15">
      <c r="A26" s="77" t="s">
        <v>19</v>
      </c>
      <c r="B26" s="78">
        <v>0</v>
      </c>
      <c r="C26" s="78">
        <v>0</v>
      </c>
      <c r="D26" s="78">
        <v>0</v>
      </c>
      <c r="E26" s="80">
        <f>E14*2.5%*E4</f>
        <v>12500</v>
      </c>
      <c r="G26" s="95"/>
      <c r="H26" s="95"/>
    </row>
    <row r="27" spans="1:8" ht="15">
      <c r="A27" s="77" t="s">
        <v>29</v>
      </c>
      <c r="B27" s="78">
        <v>0</v>
      </c>
      <c r="C27" s="78">
        <v>0</v>
      </c>
      <c r="D27" s="78">
        <v>0</v>
      </c>
      <c r="E27" s="80">
        <f>E26*0.7</f>
        <v>8750</v>
      </c>
      <c r="G27" s="95"/>
      <c r="H27" s="95"/>
    </row>
    <row r="28" spans="1:8" ht="15">
      <c r="A28" s="42" t="s">
        <v>32</v>
      </c>
      <c r="B28" s="43">
        <f>B25+B27</f>
        <v>159440.49000000008</v>
      </c>
      <c r="C28" s="43">
        <f>C25+C27</f>
        <v>156219.47000000006</v>
      </c>
      <c r="D28" s="43">
        <f>D25+D27</f>
        <v>161051.0000000001</v>
      </c>
      <c r="E28" s="44">
        <f>E25+E27</f>
        <v>172697.60071942452</v>
      </c>
      <c r="G28" s="95"/>
      <c r="H28" s="95"/>
    </row>
    <row r="29" spans="1:8" ht="15">
      <c r="A29" s="75"/>
      <c r="B29" s="78"/>
      <c r="C29" s="78"/>
      <c r="D29" s="78"/>
      <c r="E29" s="78"/>
      <c r="G29" s="95"/>
      <c r="H29" s="95"/>
    </row>
    <row r="30" spans="1:8" ht="15">
      <c r="A30" s="83" t="s">
        <v>9</v>
      </c>
      <c r="B30" s="84" t="s">
        <v>5</v>
      </c>
      <c r="C30" s="84" t="s">
        <v>6</v>
      </c>
      <c r="D30" s="84" t="s">
        <v>7</v>
      </c>
      <c r="E30" s="84" t="s">
        <v>8</v>
      </c>
      <c r="G30" s="95"/>
      <c r="H30" s="95"/>
    </row>
    <row r="31" spans="1:8" ht="15">
      <c r="A31" s="77" t="s">
        <v>27</v>
      </c>
      <c r="B31" s="78">
        <f>B28</f>
        <v>159440.49000000008</v>
      </c>
      <c r="C31" s="78">
        <f aca="true" t="shared" si="2" ref="C31:E31">C28</f>
        <v>156219.47000000006</v>
      </c>
      <c r="D31" s="78">
        <f t="shared" si="2"/>
        <v>161051.0000000001</v>
      </c>
      <c r="E31" s="78">
        <f t="shared" si="2"/>
        <v>172697.60071942452</v>
      </c>
      <c r="G31" s="95"/>
      <c r="H31" s="95"/>
    </row>
    <row r="32" spans="1:8" ht="15">
      <c r="A32" s="77" t="s">
        <v>35</v>
      </c>
      <c r="B32" s="78">
        <f>$E$8/$E$7*B14</f>
        <v>120075.75757575757</v>
      </c>
      <c r="C32" s="78">
        <f aca="true" t="shared" si="3" ref="C32:E32">$E$8/$E$7*C14</f>
        <v>120075.75757575757</v>
      </c>
      <c r="D32" s="78">
        <f t="shared" si="3"/>
        <v>120075.75757575757</v>
      </c>
      <c r="E32" s="78">
        <f t="shared" si="3"/>
        <v>120075.75757575757</v>
      </c>
      <c r="G32" s="95"/>
      <c r="H32" s="95"/>
    </row>
    <row r="33" spans="1:8" ht="15">
      <c r="A33" s="77" t="s">
        <v>22</v>
      </c>
      <c r="B33" s="78">
        <f>B28-B32</f>
        <v>39364.73242424251</v>
      </c>
      <c r="C33" s="78">
        <f>C28-C32</f>
        <v>36143.71242424249</v>
      </c>
      <c r="D33" s="78">
        <f>D28-D32</f>
        <v>40975.24242424252</v>
      </c>
      <c r="E33" s="80">
        <f>E28-E32</f>
        <v>52621.84314366695</v>
      </c>
      <c r="G33" s="95"/>
      <c r="H33" s="95"/>
    </row>
    <row r="34" spans="1:8" ht="15">
      <c r="A34" s="85" t="s">
        <v>23</v>
      </c>
      <c r="B34" s="86">
        <f>B33*0.2</f>
        <v>7872.946484848502</v>
      </c>
      <c r="C34" s="86">
        <f aca="true" t="shared" si="4" ref="C34:E34">C33*0.2</f>
        <v>7228.742484848499</v>
      </c>
      <c r="D34" s="86">
        <f t="shared" si="4"/>
        <v>8195.048484848505</v>
      </c>
      <c r="E34" s="86">
        <f t="shared" si="4"/>
        <v>10524.368628733391</v>
      </c>
      <c r="G34" s="95"/>
      <c r="H34" s="95"/>
    </row>
    <row r="35" spans="1:8" ht="15">
      <c r="A35" s="42" t="s">
        <v>33</v>
      </c>
      <c r="B35" s="87">
        <f>B28-B34</f>
        <v>151567.54351515157</v>
      </c>
      <c r="C35" s="87">
        <f>C28-C34</f>
        <v>148990.72751515155</v>
      </c>
      <c r="D35" s="87">
        <f>D28-D34</f>
        <v>152855.9515151516</v>
      </c>
      <c r="E35" s="87">
        <f>E28-E34</f>
        <v>162173.23209069113</v>
      </c>
      <c r="G35" s="95"/>
      <c r="H35" s="95"/>
    </row>
    <row r="36" spans="1:8" ht="15">
      <c r="A36" s="45" t="s">
        <v>20</v>
      </c>
      <c r="B36" s="88">
        <f>_xlfn.RRI($E$4,B20,B35)</f>
        <v>0.05611252436227154</v>
      </c>
      <c r="C36" s="88">
        <f aca="true" t="shared" si="5" ref="C36:E36">_xlfn.RRI($E$4,C20,C35)</f>
        <v>0.07662485868251911</v>
      </c>
      <c r="D36" s="88">
        <f t="shared" si="5"/>
        <v>0.08320759761014629</v>
      </c>
      <c r="E36" s="88">
        <f t="shared" si="5"/>
        <v>0.10152874412899204</v>
      </c>
      <c r="G36" s="95"/>
      <c r="H36" s="95"/>
    </row>
  </sheetData>
  <sheetProtection algorithmName="SHA-512" hashValue="SnIPIChOEiynS8xt8/cvRuxA5H1FNe0fMUsqBdtAeNhWZ1lz9qAUcZx9e9o6o9Eo1NuvFQVU5oOwvvANlRRgsA==" saltValue="lzPXTwrBNlv09TtUmY0L1A==" spinCount="100000" sheet="1" objects="1" scenarios="1" selectLockedCells="1"/>
  <protectedRanges>
    <protectedRange sqref="A11:E36" name="Calculations"/>
    <protectedRange sqref="E4" name="Duration Held"/>
  </protectedRanges>
  <mergeCells count="2">
    <mergeCell ref="G3:I3"/>
    <mergeCell ref="A1:H1"/>
  </mergeCells>
  <hyperlinks>
    <hyperlink ref="A15" r:id="rId1" display="mailto:GST@3%25"/>
    <hyperlink ref="G3:I3" r:id="rId2" display="INDEXATION TABLE Source"/>
  </hyperlinks>
  <printOptions/>
  <pageMargins left="0.7" right="0.7" top="0.75" bottom="0.75" header="0.3" footer="0.3"/>
  <pageSetup horizontalDpi="600" verticalDpi="600" orientation="portrait" r:id="rId7"/>
  <tableParts>
    <tablePart r:id="rId3"/>
    <tablePart r:id="rId5"/>
    <tablePart r:id="rId4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nishant gupta</dc:creator>
  <cp:keywords/>
  <dc:description/>
  <cp:lastModifiedBy>nishant gupta</cp:lastModifiedBy>
  <dcterms:created xsi:type="dcterms:W3CDTF">2021-06-19T10:57:06Z</dcterms:created>
  <dcterms:modified xsi:type="dcterms:W3CDTF">2021-06-29T21:04:34Z</dcterms:modified>
  <cp:category/>
  <cp:version/>
  <cp:contentType/>
  <cp:contentStatus/>
</cp:coreProperties>
</file>